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ieterkremer/Downloads/"/>
    </mc:Choice>
  </mc:AlternateContent>
  <xr:revisionPtr revIDLastSave="0" documentId="13_ncr:1_{A2B375A7-5C53-484D-8332-6A4394189317}" xr6:coauthVersionLast="47" xr6:coauthVersionMax="47" xr10:uidLastSave="{00000000-0000-0000-0000-000000000000}"/>
  <workbookProtection workbookAlgorithmName="SHA-512" workbookHashValue="c2hTWBal0AYhSLYOak8DKKOmId1J/0HfwsaMimw0nPOBeCPxtT3gARlZWAI4T8sKJ5qAVGE+v9PB1v9nC02LHQ==" workbookSaltValue="sl0zQWI6zpHigZGPZVsC4Q==" workbookSpinCount="100000" lockStructure="1"/>
  <bookViews>
    <workbookView xWindow="0" yWindow="760" windowWidth="34560" windowHeight="19980" xr2:uid="{5F7F7DEC-8008-7A49-84AC-C53974CA5B3A}"/>
  </bookViews>
  <sheets>
    <sheet name="RoofSupport Tool" sheetId="1" r:id="rId1"/>
    <sheet name="Materiaallijst" sheetId="3" r:id="rId2"/>
    <sheet name="Blad2" sheetId="2" state="hidden" r:id="rId3"/>
    <sheet name="Blad1" sheetId="4" state="hidden" r:id="rId4"/>
  </sheets>
  <definedNames>
    <definedName name="_xlnm._FilterDatabase" localSheetId="0" hidden="1">'RoofSupport Tool'!$C$5:$H$15</definedName>
    <definedName name="Janee">'RoofSupport Tool'!$E$19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 a="1"/>
  <c r="C6" i="4" s="1"/>
  <c r="C12" i="3"/>
  <c r="C11" i="3"/>
  <c r="E27" i="1"/>
  <c r="G27" i="1" s="1"/>
  <c r="I27" i="1" s="1"/>
  <c r="C9" i="3"/>
  <c r="D9" i="3" s="1"/>
  <c r="E28" i="1"/>
  <c r="G28" i="1" s="1"/>
  <c r="P34" i="2"/>
  <c r="P32" i="2"/>
  <c r="P31" i="2"/>
  <c r="P30" i="2"/>
  <c r="P29" i="2"/>
  <c r="P28" i="2"/>
  <c r="P27" i="2"/>
  <c r="P26" i="2"/>
  <c r="P25" i="2"/>
  <c r="B4" i="2"/>
  <c r="C5" i="2" s="1"/>
  <c r="E11" i="1" s="1"/>
  <c r="K26" i="2" s="1"/>
  <c r="I27" i="2"/>
  <c r="E17" i="1"/>
  <c r="C10" i="3" s="1"/>
  <c r="D10" i="3" s="1"/>
  <c r="E26" i="1"/>
  <c r="G26" i="1" s="1"/>
  <c r="I26" i="1" s="1"/>
  <c r="I32" i="2"/>
  <c r="I31" i="2"/>
  <c r="I30" i="2"/>
  <c r="I29" i="2"/>
  <c r="I28" i="2"/>
  <c r="I26" i="2"/>
  <c r="I25" i="2"/>
  <c r="F26" i="2"/>
  <c r="F27" i="2"/>
  <c r="F28" i="2"/>
  <c r="F29" i="2"/>
  <c r="F30" i="2"/>
  <c r="F31" i="2"/>
  <c r="F32" i="2"/>
  <c r="F25" i="2"/>
  <c r="E25" i="1"/>
  <c r="G25" i="1" s="1"/>
  <c r="K27" i="2" l="1"/>
  <c r="I28" i="1"/>
  <c r="K28" i="1" s="1"/>
  <c r="I25" i="1"/>
  <c r="K25" i="1" s="1"/>
  <c r="E12" i="3"/>
  <c r="E9" i="3"/>
  <c r="E11" i="3" s="1"/>
  <c r="D12" i="3"/>
  <c r="D11" i="3"/>
  <c r="K25" i="2"/>
  <c r="K32" i="2"/>
  <c r="K29" i="2"/>
  <c r="K31" i="2"/>
  <c r="K30" i="2"/>
  <c r="K28" i="2"/>
  <c r="G8" i="3" l="1" a="1"/>
  <c r="G8" i="3" s="1"/>
  <c r="E13" i="1"/>
  <c r="K27" i="1" s="1"/>
  <c r="K26" i="1" l="1"/>
  <c r="H8" i="3" s="1" a="1"/>
  <c r="E10" i="3"/>
  <c r="H8" i="3" l="1"/>
  <c r="H13" i="3"/>
  <c r="E31" i="1"/>
  <c r="E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<sst xmlns="http://schemas.openxmlformats.org/spreadsheetml/2006/main" count="119" uniqueCount="83">
  <si>
    <t>Watt</t>
  </si>
  <si>
    <t xml:space="preserve">aantal meters </t>
  </si>
  <si>
    <t>Lengte per paneel</t>
  </si>
  <si>
    <t>meter</t>
  </si>
  <si>
    <t>2/17355</t>
  </si>
  <si>
    <t>2/17356</t>
  </si>
  <si>
    <t>2/17357</t>
  </si>
  <si>
    <t>2/17358</t>
  </si>
  <si>
    <t>2/17359</t>
  </si>
  <si>
    <t>2/17361</t>
  </si>
  <si>
    <t>2/17362</t>
  </si>
  <si>
    <t>Wire tray 65x60 (L=3M)</t>
  </si>
  <si>
    <t>Wire tray 65x100 (L=3M)</t>
  </si>
  <si>
    <t>Wire tray 65x150 (L=3M)</t>
  </si>
  <si>
    <t>Wire tray 65x200 (L=3M)</t>
  </si>
  <si>
    <t>Wire tray 65x300 (L=3M)</t>
  </si>
  <si>
    <t>Wire tray 65x400 (L=3M)</t>
  </si>
  <si>
    <t>Wire tray 65x500 (L=3M)</t>
  </si>
  <si>
    <t>Wire tray 65x600 (L=3M)</t>
  </si>
  <si>
    <t>KW</t>
  </si>
  <si>
    <t xml:space="preserve">Rabat: </t>
  </si>
  <si>
    <t>Bruto prijs:</t>
  </si>
  <si>
    <t>Inkoop Krannich:</t>
  </si>
  <si>
    <t>Marge totaal</t>
  </si>
  <si>
    <t>RS102011</t>
  </si>
  <si>
    <t>RSXL102011</t>
  </si>
  <si>
    <t>Totaal per meter</t>
  </si>
  <si>
    <t>Berekend</t>
  </si>
  <si>
    <t>Type solarmodule</t>
  </si>
  <si>
    <t>Ja</t>
  </si>
  <si>
    <t>Type:</t>
  </si>
  <si>
    <t>100MM COVER L=3M HD.</t>
  </si>
  <si>
    <t>150MM COVER L=3M HD.</t>
  </si>
  <si>
    <t>200MM COVER L=3M HD.</t>
  </si>
  <si>
    <t>300MM COVER L=3M HD.</t>
  </si>
  <si>
    <t>400MM COVER L=2M HD.</t>
  </si>
  <si>
    <t>500MM COVER L=2M HD.</t>
  </si>
  <si>
    <t>600MM COVER L=2M HD.</t>
  </si>
  <si>
    <t>60MM COVER L=1,5M HD.</t>
  </si>
  <si>
    <t>2/1321</t>
  </si>
  <si>
    <t>2/1322</t>
  </si>
  <si>
    <t>2/1323</t>
  </si>
  <si>
    <t>2/1325</t>
  </si>
  <si>
    <t>2/1326</t>
  </si>
  <si>
    <t>2/1327</t>
  </si>
  <si>
    <t>2/1328</t>
  </si>
  <si>
    <t>2/3614</t>
  </si>
  <si>
    <t>Cover clamp stainless steel 304</t>
  </si>
  <si>
    <t>2/10254</t>
  </si>
  <si>
    <t>RoofBlock</t>
  </si>
  <si>
    <t>RoofBlock XL</t>
  </si>
  <si>
    <t>M</t>
  </si>
  <si>
    <t>Type omvormer:</t>
  </si>
  <si>
    <t>Aantal omvormers:</t>
  </si>
  <si>
    <t>Geschatte aantal meters draadgoot:</t>
  </si>
  <si>
    <t>Geschatte aantal daksteunen:</t>
  </si>
  <si>
    <t>Type draadgoot:</t>
  </si>
  <si>
    <t>Deksel benodigd:</t>
  </si>
  <si>
    <t>Type daksteun:</t>
  </si>
  <si>
    <t>Gewenste verkoopmarge:</t>
  </si>
  <si>
    <t>Stk</t>
  </si>
  <si>
    <t>Prijs draadgoot per meter:</t>
  </si>
  <si>
    <t>Prijs daksteun per stuk:</t>
  </si>
  <si>
    <t>Prijs deksel per meter:</t>
  </si>
  <si>
    <t>Prijs dekselklem:</t>
  </si>
  <si>
    <t>Bruto</t>
  </si>
  <si>
    <t xml:space="preserve">Inkoop </t>
  </si>
  <si>
    <t>Verkoop</t>
  </si>
  <si>
    <t>Totaal</t>
  </si>
  <si>
    <t>Nee</t>
  </si>
  <si>
    <t>Inkoop korting:</t>
  </si>
  <si>
    <t>Verkoop totaal</t>
  </si>
  <si>
    <t>Materiaallijst</t>
  </si>
  <si>
    <t>Draadgoot:</t>
  </si>
  <si>
    <t>Daksteun:</t>
  </si>
  <si>
    <t>Deksel:</t>
  </si>
  <si>
    <t>Dekselklem:</t>
  </si>
  <si>
    <t>ArtikelNr:</t>
  </si>
  <si>
    <t>Omschrijving:</t>
  </si>
  <si>
    <t>ST</t>
  </si>
  <si>
    <t>ST/M</t>
  </si>
  <si>
    <t>Materiaallijst RoofSupport Kabelmanagement</t>
  </si>
  <si>
    <t>versie:250122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</si>
</sst>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€&quot;\ #,##0.00_);[Red]\(&quot;€&quot;\ #,##0.00\)"/>
    <numFmt numFmtId="44" formatCode="_(&quot;€&quot;\ * #,##0.00_);_(&quot;€&quot;\ * \(#,##0.00\);_(&quot;€&quot;\ * &quot;-&quot;??_);_(@_)"/>
    <numFmt numFmtId="164" formatCode="_ &quot;€&quot;\ * #,##0.00_ ;_ &quot;€&quot;\ * \-#,##0.00_ ;_ &quot;€&quot;\ * &quot;-&quot;??_ ;_ @_ "/>
    <numFmt numFmtId="165" formatCode="_ [$€-2]\ * #,##0.00_ ;_ [$€-2]\ * \-#,##0.00_ ;_ [$€-2]\ * &quot;-&quot;??_ ;_ @_ "/>
    <numFmt numFmtId="166" formatCode="&quot;€&quot;\ #,##0.00;[Red]&quot;€&quot;\ #,##0.00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1E1E1E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 (Hoofdtekst)"/>
    </font>
    <font>
      <sz val="18"/>
      <color theme="0"/>
      <name val="Calibri"/>
      <family val="2"/>
      <scheme val="minor"/>
    </font>
    <font>
      <sz val="18"/>
      <color theme="0"/>
      <name val="Calibri (Hoofdtekst)"/>
    </font>
    <font>
      <b/>
      <sz val="12"/>
      <color theme="1"/>
      <name val="Calibri"/>
      <family val="2"/>
      <scheme val="minor"/>
    </font>
    <font>
      <u val="singleAccounting"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C6527"/>
        <bgColor indexed="64"/>
      </patternFill>
    </fill>
    <fill>
      <patternFill patternType="solid">
        <fgColor rgb="FFEC6527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2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rgb="FFEC6527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8" fontId="0" fillId="0" borderId="0" xfId="0" applyNumberFormat="1"/>
    <xf numFmtId="9" fontId="0" fillId="0" borderId="0" xfId="2" applyFont="1"/>
    <xf numFmtId="166" fontId="0" fillId="0" borderId="0" xfId="0" applyNumberFormat="1"/>
    <xf numFmtId="0" fontId="2" fillId="0" borderId="0" xfId="0" applyFont="1"/>
    <xf numFmtId="17" fontId="0" fillId="0" borderId="0" xfId="0" quotePrefix="1" applyNumberFormat="1"/>
    <xf numFmtId="1" fontId="3" fillId="2" borderId="1" xfId="0" applyNumberFormat="1" applyFont="1" applyFill="1" applyBorder="1" applyAlignment="1">
      <alignment horizontal="center"/>
    </xf>
    <xf numFmtId="0" fontId="5" fillId="3" borderId="0" xfId="0" applyFont="1" applyFill="1"/>
    <xf numFmtId="0" fontId="5" fillId="3" borderId="0" xfId="0" applyFont="1" applyFill="1" applyAlignment="1">
      <alignment horizontal="right"/>
    </xf>
    <xf numFmtId="0" fontId="5" fillId="3" borderId="0" xfId="0" applyFont="1" applyFill="1" applyAlignment="1">
      <alignment horizontal="center"/>
    </xf>
    <xf numFmtId="1" fontId="5" fillId="3" borderId="0" xfId="0" applyNumberFormat="1" applyFont="1" applyFill="1"/>
    <xf numFmtId="1" fontId="5" fillId="3" borderId="0" xfId="0" applyNumberFormat="1" applyFont="1" applyFill="1" applyAlignment="1">
      <alignment horizontal="center"/>
    </xf>
    <xf numFmtId="44" fontId="5" fillId="3" borderId="0" xfId="1" applyFont="1" applyFill="1" applyBorder="1" applyAlignment="1">
      <alignment horizontal="center"/>
    </xf>
    <xf numFmtId="44" fontId="6" fillId="3" borderId="0" xfId="1" applyFont="1" applyFill="1" applyBorder="1" applyAlignment="1">
      <alignment horizontal="center"/>
    </xf>
    <xf numFmtId="0" fontId="5" fillId="3" borderId="16" xfId="0" applyFont="1" applyFill="1" applyBorder="1"/>
    <xf numFmtId="164" fontId="5" fillId="3" borderId="0" xfId="0" applyNumberFormat="1" applyFont="1" applyFill="1"/>
    <xf numFmtId="165" fontId="5" fillId="3" borderId="0" xfId="1" applyNumberFormat="1" applyFont="1" applyFill="1" applyAlignment="1">
      <alignment horizontal="center"/>
    </xf>
    <xf numFmtId="165" fontId="5" fillId="3" borderId="0" xfId="1" applyNumberFormat="1" applyFont="1" applyFill="1"/>
    <xf numFmtId="8" fontId="5" fillId="3" borderId="0" xfId="0" applyNumberFormat="1" applyFont="1" applyFill="1" applyAlignment="1">
      <alignment horizontal="center"/>
    </xf>
    <xf numFmtId="44" fontId="5" fillId="3" borderId="0" xfId="1" applyFont="1" applyFill="1" applyBorder="1" applyAlignment="1"/>
    <xf numFmtId="44" fontId="5" fillId="3" borderId="0" xfId="1" applyFont="1" applyFill="1" applyAlignment="1"/>
    <xf numFmtId="44" fontId="5" fillId="3" borderId="0" xfId="0" applyNumberFormat="1" applyFont="1" applyFill="1"/>
    <xf numFmtId="44" fontId="5" fillId="3" borderId="0" xfId="1" applyFont="1" applyFill="1" applyBorder="1"/>
    <xf numFmtId="9" fontId="6" fillId="3" borderId="0" xfId="2" applyFont="1" applyFill="1" applyBorder="1" applyAlignment="1">
      <alignment horizontal="center"/>
    </xf>
    <xf numFmtId="9" fontId="6" fillId="3" borderId="0" xfId="2" applyFont="1" applyFill="1"/>
    <xf numFmtId="44" fontId="6" fillId="3" borderId="0" xfId="1" applyFont="1" applyFill="1" applyBorder="1"/>
    <xf numFmtId="0" fontId="5" fillId="2" borderId="12" xfId="0" applyFont="1" applyFill="1" applyBorder="1"/>
    <xf numFmtId="0" fontId="5" fillId="2" borderId="15" xfId="0" applyFont="1" applyFill="1" applyBorder="1"/>
    <xf numFmtId="44" fontId="0" fillId="0" borderId="0" xfId="1" applyFont="1"/>
    <xf numFmtId="0" fontId="0" fillId="5" borderId="0" xfId="0" applyFill="1"/>
    <xf numFmtId="1" fontId="0" fillId="5" borderId="0" xfId="0" applyNumberFormat="1" applyFill="1"/>
    <xf numFmtId="44" fontId="0" fillId="5" borderId="0" xfId="1" applyFont="1" applyFill="1" applyBorder="1"/>
    <xf numFmtId="0" fontId="0" fillId="5" borderId="21" xfId="0" applyFill="1" applyBorder="1"/>
    <xf numFmtId="0" fontId="0" fillId="5" borderId="22" xfId="0" applyFill="1" applyBorder="1"/>
    <xf numFmtId="0" fontId="0" fillId="5" borderId="23" xfId="0" applyFill="1" applyBorder="1"/>
    <xf numFmtId="44" fontId="0" fillId="5" borderId="23" xfId="1" applyFont="1" applyFill="1" applyBorder="1"/>
    <xf numFmtId="0" fontId="7" fillId="6" borderId="18" xfId="0" applyFont="1" applyFill="1" applyBorder="1"/>
    <xf numFmtId="0" fontId="7" fillId="6" borderId="19" xfId="0" applyFont="1" applyFill="1" applyBorder="1"/>
    <xf numFmtId="0" fontId="0" fillId="6" borderId="19" xfId="0" applyFill="1" applyBorder="1"/>
    <xf numFmtId="44" fontId="0" fillId="6" borderId="19" xfId="1" applyFont="1" applyFill="1" applyBorder="1"/>
    <xf numFmtId="44" fontId="0" fillId="6" borderId="20" xfId="1" applyFont="1" applyFill="1" applyBorder="1"/>
    <xf numFmtId="44" fontId="0" fillId="5" borderId="2" xfId="1" applyFont="1" applyFill="1" applyBorder="1"/>
    <xf numFmtId="44" fontId="8" fillId="5" borderId="2" xfId="1" applyFont="1" applyFill="1" applyBorder="1"/>
    <xf numFmtId="44" fontId="7" fillId="5" borderId="24" xfId="1" applyFont="1" applyFill="1" applyBorder="1"/>
    <xf numFmtId="0" fontId="9" fillId="0" borderId="0" xfId="0" applyFont="1"/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9" fontId="3" fillId="2" borderId="0" xfId="2" applyFont="1" applyFill="1" applyBorder="1" applyAlignment="1" applyProtection="1">
      <alignment horizontal="center"/>
      <protection locked="0"/>
    </xf>
    <xf numFmtId="9" fontId="3" fillId="2" borderId="0" xfId="2" applyFont="1" applyFill="1" applyBorder="1" applyAlignment="1" applyProtection="1">
      <alignment horizontal="center" vertical="center"/>
      <protection locked="0"/>
    </xf>
    <xf numFmtId="44" fontId="4" fillId="2" borderId="0" xfId="1" applyFont="1" applyFill="1" applyBorder="1" applyAlignment="1">
      <alignment horizontal="center"/>
    </xf>
    <xf numFmtId="0" fontId="3" fillId="2" borderId="0" xfId="0" applyFont="1" applyFill="1"/>
    <xf numFmtId="0" fontId="5" fillId="3" borderId="0" xfId="0" applyFont="1" applyFill="1" applyAlignment="1">
      <alignment horizontal="right"/>
    </xf>
    <xf numFmtId="0" fontId="5" fillId="2" borderId="10" xfId="0" applyFont="1" applyFill="1" applyBorder="1"/>
    <xf numFmtId="0" fontId="5" fillId="2" borderId="11" xfId="0" applyFont="1" applyFill="1" applyBorder="1"/>
    <xf numFmtId="0" fontId="5" fillId="2" borderId="13" xfId="0" applyFont="1" applyFill="1" applyBorder="1"/>
    <xf numFmtId="0" fontId="5" fillId="2" borderId="14" xfId="0" applyFont="1" applyFill="1" applyBorder="1"/>
    <xf numFmtId="0" fontId="5" fillId="3" borderId="2" xfId="0" applyFont="1" applyFill="1" applyBorder="1" applyAlignment="1">
      <alignment horizontal="right"/>
    </xf>
    <xf numFmtId="0" fontId="5" fillId="4" borderId="0" xfId="0" applyFont="1" applyFill="1" applyAlignment="1">
      <alignment horizontal="right"/>
    </xf>
    <xf numFmtId="0" fontId="5" fillId="4" borderId="6" xfId="0" applyFont="1" applyFill="1" applyBorder="1" applyAlignment="1">
      <alignment horizontal="right"/>
    </xf>
    <xf numFmtId="44" fontId="3" fillId="2" borderId="3" xfId="1" applyFont="1" applyFill="1" applyBorder="1" applyAlignment="1">
      <alignment horizontal="center"/>
    </xf>
    <xf numFmtId="0" fontId="3" fillId="2" borderId="4" xfId="0" applyFont="1" applyFill="1" applyBorder="1"/>
    <xf numFmtId="0" fontId="3" fillId="2" borderId="5" xfId="0" applyFont="1" applyFill="1" applyBorder="1"/>
    <xf numFmtId="0" fontId="3" fillId="2" borderId="7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Protection="1">
      <protection locked="0"/>
    </xf>
    <xf numFmtId="0" fontId="10" fillId="3" borderId="0" xfId="0" applyFont="1" applyFill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EC6527"/>
      <color rgb="FFFFCC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37352</xdr:colOff>
      <xdr:row>4</xdr:row>
      <xdr:rowOff>8965</xdr:rowOff>
    </xdr:from>
    <xdr:ext cx="3449342" cy="374141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33DEEA9-1F56-1A30-E5F4-9445C9139B88}"/>
            </a:ext>
          </a:extLst>
        </xdr:cNvPr>
        <xdr:cNvSpPr txBox="1"/>
      </xdr:nvSpPr>
      <xdr:spPr>
        <a:xfrm>
          <a:off x="6704852" y="1659965"/>
          <a:ext cx="3449342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800" i="1">
              <a:solidFill>
                <a:schemeClr val="bg1"/>
              </a:solidFill>
            </a:rPr>
            <a:t>Vul hier het omvormervermogen in</a:t>
          </a:r>
        </a:p>
      </xdr:txBody>
    </xdr:sp>
    <xdr:clientData/>
  </xdr:oneCellAnchor>
  <xdr:oneCellAnchor>
    <xdr:from>
      <xdr:col>7</xdr:col>
      <xdr:colOff>164354</xdr:colOff>
      <xdr:row>8</xdr:row>
      <xdr:rowOff>29883</xdr:rowOff>
    </xdr:from>
    <xdr:ext cx="3177473" cy="374141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F4CA5CE8-048B-8043-8726-DB72917929C5}"/>
            </a:ext>
          </a:extLst>
        </xdr:cNvPr>
        <xdr:cNvSpPr txBox="1"/>
      </xdr:nvSpPr>
      <xdr:spPr>
        <a:xfrm>
          <a:off x="6831854" y="2773083"/>
          <a:ext cx="3177473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800" i="1">
              <a:solidFill>
                <a:schemeClr val="bg1"/>
              </a:solidFill>
            </a:rPr>
            <a:t>Vul hier</a:t>
          </a:r>
          <a:r>
            <a:rPr lang="nl-NL" sz="1800" i="1" baseline="0">
              <a:solidFill>
                <a:schemeClr val="bg1"/>
              </a:solidFill>
            </a:rPr>
            <a:t> het modulevermogen in</a:t>
          </a:r>
          <a:endParaRPr lang="nl-NL" sz="1800" i="1">
            <a:solidFill>
              <a:schemeClr val="bg1"/>
            </a:solidFill>
          </a:endParaRPr>
        </a:p>
      </xdr:txBody>
    </xdr:sp>
    <xdr:clientData/>
  </xdr:oneCellAnchor>
  <xdr:twoCellAnchor>
    <xdr:from>
      <xdr:col>6</xdr:col>
      <xdr:colOff>38846</xdr:colOff>
      <xdr:row>4</xdr:row>
      <xdr:rowOff>186017</xdr:rowOff>
    </xdr:from>
    <xdr:to>
      <xdr:col>7</xdr:col>
      <xdr:colOff>68729</xdr:colOff>
      <xdr:row>4</xdr:row>
      <xdr:rowOff>193488</xdr:rowOff>
    </xdr:to>
    <xdr:cxnSp macro="">
      <xdr:nvCxnSpPr>
        <xdr:cNvPr id="6" name="Rechte verbindingslijn met pijl 5">
          <a:extLst>
            <a:ext uri="{FF2B5EF4-FFF2-40B4-BE49-F238E27FC236}">
              <a16:creationId xmlns:a16="http://schemas.microsoft.com/office/drawing/2014/main" id="{8E71F3D7-D42A-63A8-3C4C-30EA1A743379}"/>
            </a:ext>
          </a:extLst>
        </xdr:cNvPr>
        <xdr:cNvCxnSpPr/>
      </xdr:nvCxnSpPr>
      <xdr:spPr>
        <a:xfrm flipH="1">
          <a:off x="5652246" y="1837017"/>
          <a:ext cx="1083983" cy="7471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177052</xdr:colOff>
      <xdr:row>8</xdr:row>
      <xdr:rowOff>209176</xdr:rowOff>
    </xdr:from>
    <xdr:to>
      <xdr:col>7</xdr:col>
      <xdr:colOff>206935</xdr:colOff>
      <xdr:row>8</xdr:row>
      <xdr:rowOff>216647</xdr:rowOff>
    </xdr:to>
    <xdr:cxnSp macro="">
      <xdr:nvCxnSpPr>
        <xdr:cNvPr id="7" name="Rechte verbindingslijn met pijl 6">
          <a:extLst>
            <a:ext uri="{FF2B5EF4-FFF2-40B4-BE49-F238E27FC236}">
              <a16:creationId xmlns:a16="http://schemas.microsoft.com/office/drawing/2014/main" id="{2E108470-A161-7640-9D55-2B8AAD3B7A55}"/>
            </a:ext>
          </a:extLst>
        </xdr:cNvPr>
        <xdr:cNvCxnSpPr/>
      </xdr:nvCxnSpPr>
      <xdr:spPr>
        <a:xfrm flipH="1">
          <a:off x="5790452" y="2952376"/>
          <a:ext cx="1083983" cy="7471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416112</xdr:colOff>
      <xdr:row>13</xdr:row>
      <xdr:rowOff>194235</xdr:rowOff>
    </xdr:from>
    <xdr:ext cx="2983381" cy="374141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542F6A5-1904-1D41-9F94-F9455E11AAE3}"/>
            </a:ext>
          </a:extLst>
        </xdr:cNvPr>
        <xdr:cNvSpPr txBox="1"/>
      </xdr:nvSpPr>
      <xdr:spPr>
        <a:xfrm>
          <a:off x="8506012" y="4321735"/>
          <a:ext cx="298338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800" i="1">
              <a:solidFill>
                <a:schemeClr val="bg1"/>
              </a:solidFill>
            </a:rPr>
            <a:t>Vul hier</a:t>
          </a:r>
          <a:r>
            <a:rPr lang="nl-NL" sz="1800" i="1" baseline="0">
              <a:solidFill>
                <a:schemeClr val="bg1"/>
              </a:solidFill>
            </a:rPr>
            <a:t> het type draadgoot in</a:t>
          </a:r>
          <a:endParaRPr lang="nl-NL" sz="1800" i="1">
            <a:solidFill>
              <a:schemeClr val="bg1"/>
            </a:solidFill>
          </a:endParaRPr>
        </a:p>
      </xdr:txBody>
    </xdr:sp>
    <xdr:clientData/>
  </xdr:oneCellAnchor>
  <xdr:twoCellAnchor>
    <xdr:from>
      <xdr:col>9</xdr:col>
      <xdr:colOff>50800</xdr:colOff>
      <xdr:row>14</xdr:row>
      <xdr:rowOff>169582</xdr:rowOff>
    </xdr:from>
    <xdr:to>
      <xdr:col>10</xdr:col>
      <xdr:colOff>45571</xdr:colOff>
      <xdr:row>14</xdr:row>
      <xdr:rowOff>177053</xdr:rowOff>
    </xdr:to>
    <xdr:cxnSp macro="">
      <xdr:nvCxnSpPr>
        <xdr:cNvPr id="9" name="Rechte verbindingslijn met pijl 8">
          <a:extLst>
            <a:ext uri="{FF2B5EF4-FFF2-40B4-BE49-F238E27FC236}">
              <a16:creationId xmlns:a16="http://schemas.microsoft.com/office/drawing/2014/main" id="{73389540-89C7-824D-8476-33E9389BE77E}"/>
            </a:ext>
          </a:extLst>
        </xdr:cNvPr>
        <xdr:cNvCxnSpPr/>
      </xdr:nvCxnSpPr>
      <xdr:spPr>
        <a:xfrm flipH="1">
          <a:off x="8140700" y="4500282"/>
          <a:ext cx="413871" cy="7471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318995</xdr:colOff>
      <xdr:row>1</xdr:row>
      <xdr:rowOff>142688</xdr:rowOff>
    </xdr:from>
    <xdr:to>
      <xdr:col>9</xdr:col>
      <xdr:colOff>152401</xdr:colOff>
      <xdr:row>2</xdr:row>
      <xdr:rowOff>457086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6DA7C4C5-76B6-3DAF-DEC9-FF4034401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1795" y="485588"/>
          <a:ext cx="5840506" cy="657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279400</xdr:colOff>
      <xdr:row>3</xdr:row>
      <xdr:rowOff>35726</xdr:rowOff>
    </xdr:from>
    <xdr:to>
      <xdr:col>7</xdr:col>
      <xdr:colOff>914400</xdr:colOff>
      <xdr:row>6</xdr:row>
      <xdr:rowOff>34997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03F08F9-2489-F441-A59A-9D97214A4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746926"/>
          <a:ext cx="5410200" cy="6088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EDBF9-0184-5947-A452-09E582DB793B}">
  <sheetPr>
    <tabColor rgb="FFFFC000"/>
  </sheetPr>
  <dimension ref="A1:M33"/>
  <sheetViews>
    <sheetView tabSelected="1" zoomScaleNormal="100" workbookViewId="0">
      <selection activeCell="E5" sqref="E5"/>
    </sheetView>
  </sheetViews>
  <sheetFormatPr baseColWidth="10" defaultColWidth="13.6640625" defaultRowHeight="27" customHeight="1" x14ac:dyDescent="0.3"/>
  <cols>
    <col min="1" max="4" width="13.6640625" style="7"/>
    <col min="5" max="5" width="13.1640625" style="7" customWidth="1"/>
    <col min="6" max="6" width="5.83203125" style="7" customWidth="1"/>
    <col min="7" max="7" width="13.83203125" style="7" bestFit="1" customWidth="1"/>
    <col min="8" max="8" width="5.83203125" style="7" customWidth="1"/>
    <col min="9" max="9" width="12.83203125" style="7" customWidth="1"/>
    <col min="10" max="10" width="5.5" style="7" customWidth="1"/>
    <col min="11" max="11" width="17.6640625" style="7" customWidth="1"/>
    <col min="12" max="16384" width="13.6640625" style="7"/>
  </cols>
  <sheetData>
    <row r="1" spans="1:10" ht="27" customHeight="1" thickBot="1" x14ac:dyDescent="0.35"/>
    <row r="2" spans="1:10" ht="27" customHeight="1" x14ac:dyDescent="0.3">
      <c r="C2" s="52"/>
      <c r="D2" s="53"/>
      <c r="E2" s="53"/>
      <c r="F2" s="53"/>
      <c r="G2" s="53"/>
      <c r="H2" s="53"/>
      <c r="I2" s="53"/>
      <c r="J2" s="26"/>
    </row>
    <row r="3" spans="1:10" ht="49" customHeight="1" thickBot="1" x14ac:dyDescent="0.35">
      <c r="C3" s="54"/>
      <c r="D3" s="55"/>
      <c r="E3" s="55"/>
      <c r="F3" s="55"/>
      <c r="G3" s="55"/>
      <c r="H3" s="55"/>
      <c r="I3" s="55"/>
      <c r="J3" s="27"/>
    </row>
    <row r="4" spans="1:10" ht="27" customHeight="1" thickBot="1" x14ac:dyDescent="0.35"/>
    <row r="5" spans="1:10" ht="27" customHeight="1" thickBot="1" x14ac:dyDescent="0.35">
      <c r="C5" s="51" t="s">
        <v>52</v>
      </c>
      <c r="D5" s="51"/>
      <c r="E5" s="45">
        <v>100</v>
      </c>
      <c r="F5" s="7" t="s">
        <v>19</v>
      </c>
    </row>
    <row r="6" spans="1:10" ht="16" customHeight="1" thickBot="1" x14ac:dyDescent="0.35">
      <c r="E6" s="9"/>
    </row>
    <row r="7" spans="1:10" ht="27" customHeight="1" thickBot="1" x14ac:dyDescent="0.35">
      <c r="D7" s="8" t="s">
        <v>53</v>
      </c>
      <c r="E7" s="45">
        <v>1</v>
      </c>
      <c r="F7" s="7" t="s">
        <v>60</v>
      </c>
    </row>
    <row r="8" spans="1:10" ht="16" customHeight="1" thickBot="1" x14ac:dyDescent="0.35">
      <c r="E8" s="9"/>
    </row>
    <row r="9" spans="1:10" ht="27" customHeight="1" thickBot="1" x14ac:dyDescent="0.35">
      <c r="B9" s="51" t="s">
        <v>28</v>
      </c>
      <c r="C9" s="51"/>
      <c r="D9" s="51"/>
      <c r="E9" s="45">
        <v>200</v>
      </c>
      <c r="F9" s="7" t="s">
        <v>0</v>
      </c>
    </row>
    <row r="10" spans="1:10" ht="14" customHeight="1" x14ac:dyDescent="0.3">
      <c r="E10" s="9"/>
    </row>
    <row r="11" spans="1:10" ht="27" customHeight="1" x14ac:dyDescent="0.3">
      <c r="A11" s="51" t="s">
        <v>54</v>
      </c>
      <c r="B11" s="51"/>
      <c r="C11" s="51"/>
      <c r="D11" s="56"/>
      <c r="E11" s="6">
        <f>MROUND(Blad2!C5*Blad2!C6,3)</f>
        <v>174</v>
      </c>
      <c r="F11" s="10"/>
      <c r="G11" s="10"/>
    </row>
    <row r="12" spans="1:10" ht="14" customHeight="1" x14ac:dyDescent="0.3">
      <c r="A12" s="8"/>
      <c r="B12" s="8"/>
      <c r="C12" s="8"/>
      <c r="D12" s="8"/>
      <c r="E12" s="11"/>
      <c r="F12" s="10"/>
      <c r="G12" s="10"/>
    </row>
    <row r="13" spans="1:10" ht="27" customHeight="1" x14ac:dyDescent="0.3">
      <c r="A13" s="51" t="s">
        <v>55</v>
      </c>
      <c r="B13" s="51"/>
      <c r="C13" s="51"/>
      <c r="D13" s="56"/>
      <c r="E13" s="6">
        <f>VLOOKUP(E15,Blad2!D25:K32,8,FALSE)</f>
        <v>87</v>
      </c>
      <c r="F13" s="10"/>
      <c r="G13" s="10"/>
    </row>
    <row r="14" spans="1:10" ht="16" customHeight="1" thickBot="1" x14ac:dyDescent="0.35">
      <c r="A14" s="8"/>
      <c r="B14" s="8"/>
      <c r="C14" s="8"/>
      <c r="D14" s="8"/>
      <c r="E14" s="11"/>
      <c r="F14" s="10"/>
      <c r="G14" s="10"/>
    </row>
    <row r="15" spans="1:10" ht="27" customHeight="1" thickBot="1" x14ac:dyDescent="0.35">
      <c r="A15" s="8"/>
      <c r="B15" s="57" t="s">
        <v>56</v>
      </c>
      <c r="C15" s="57"/>
      <c r="D15" s="58"/>
      <c r="E15" s="62" t="s">
        <v>15</v>
      </c>
      <c r="F15" s="63"/>
      <c r="G15" s="63"/>
      <c r="H15" s="63"/>
      <c r="I15" s="64"/>
    </row>
    <row r="16" spans="1:10" ht="15" customHeight="1" x14ac:dyDescent="0.3">
      <c r="A16" s="8"/>
      <c r="B16" s="8"/>
      <c r="C16" s="8"/>
      <c r="D16" s="8"/>
    </row>
    <row r="17" spans="1:13" ht="27" customHeight="1" x14ac:dyDescent="0.3">
      <c r="A17" s="8"/>
      <c r="B17" s="51" t="s">
        <v>58</v>
      </c>
      <c r="C17" s="51"/>
      <c r="D17" s="56"/>
      <c r="E17" s="59" t="str">
        <f>VLOOKUP(E15,Blad2!D25:G32,4,FALSE)</f>
        <v>RSXL102011</v>
      </c>
      <c r="F17" s="60"/>
      <c r="G17" s="60"/>
      <c r="H17" s="61"/>
    </row>
    <row r="18" spans="1:13" ht="15" customHeight="1" x14ac:dyDescent="0.3">
      <c r="A18" s="8"/>
      <c r="B18" s="8"/>
      <c r="C18" s="8"/>
      <c r="D18" s="8"/>
    </row>
    <row r="19" spans="1:13" ht="27" customHeight="1" x14ac:dyDescent="0.3">
      <c r="A19" s="8"/>
      <c r="B19" s="51" t="s">
        <v>57</v>
      </c>
      <c r="C19" s="51"/>
      <c r="D19" s="51"/>
      <c r="E19" s="46" t="s">
        <v>29</v>
      </c>
      <c r="F19" s="9"/>
      <c r="G19" s="9"/>
      <c r="H19" s="9"/>
    </row>
    <row r="20" spans="1:13" ht="15" customHeight="1" x14ac:dyDescent="0.3">
      <c r="A20" s="8"/>
      <c r="B20" s="8"/>
      <c r="C20" s="8"/>
      <c r="D20" s="8"/>
      <c r="E20" s="12"/>
      <c r="F20" s="13"/>
      <c r="G20" s="13"/>
    </row>
    <row r="21" spans="1:13" ht="27" customHeight="1" x14ac:dyDescent="0.3">
      <c r="A21" s="8"/>
      <c r="B21" s="8"/>
      <c r="C21" s="8"/>
      <c r="D21" s="8" t="s">
        <v>70</v>
      </c>
      <c r="E21" s="47">
        <v>0.55000000000000004</v>
      </c>
      <c r="F21" s="13"/>
      <c r="G21" s="13"/>
      <c r="J21" s="14"/>
    </row>
    <row r="22" spans="1:13" ht="15" customHeight="1" x14ac:dyDescent="0.3">
      <c r="A22" s="8"/>
      <c r="B22" s="8"/>
      <c r="C22" s="8"/>
      <c r="D22" s="8"/>
      <c r="E22" s="12"/>
      <c r="F22" s="13"/>
      <c r="G22" s="13"/>
    </row>
    <row r="23" spans="1:13" ht="27" customHeight="1" x14ac:dyDescent="0.3">
      <c r="A23" s="8"/>
      <c r="B23" s="51" t="s">
        <v>59</v>
      </c>
      <c r="C23" s="51"/>
      <c r="D23" s="51"/>
      <c r="E23" s="48">
        <v>0.15</v>
      </c>
      <c r="F23" s="13"/>
      <c r="G23" s="13"/>
      <c r="M23" s="15"/>
    </row>
    <row r="24" spans="1:13" ht="27" customHeight="1" x14ac:dyDescent="0.3">
      <c r="A24" s="8"/>
      <c r="B24" s="8"/>
      <c r="C24" s="8"/>
      <c r="D24" s="8"/>
      <c r="E24" s="16" t="s">
        <v>65</v>
      </c>
      <c r="F24" s="17"/>
      <c r="G24" s="9" t="s">
        <v>66</v>
      </c>
      <c r="I24" s="18" t="s">
        <v>67</v>
      </c>
      <c r="K24" s="18" t="s">
        <v>68</v>
      </c>
      <c r="M24" s="18"/>
    </row>
    <row r="25" spans="1:13" ht="27" customHeight="1" x14ac:dyDescent="0.3">
      <c r="A25" s="8"/>
      <c r="B25" s="51" t="s">
        <v>61</v>
      </c>
      <c r="C25" s="51"/>
      <c r="D25" s="51"/>
      <c r="E25" s="12">
        <f>VLOOKUP(E15,Blad2!D25:E32,2,FALSE)</f>
        <v>32.270000000000003</v>
      </c>
      <c r="F25" s="19"/>
      <c r="G25" s="12">
        <f>E25*(1-$E$21)</f>
        <v>14.5215</v>
      </c>
      <c r="I25" s="20">
        <f>G25/(1-E23)</f>
        <v>17.084117647058825</v>
      </c>
      <c r="K25" s="21">
        <f>I25*E11</f>
        <v>2972.6364705882356</v>
      </c>
      <c r="M25" s="20"/>
    </row>
    <row r="26" spans="1:13" ht="27" customHeight="1" x14ac:dyDescent="0.3">
      <c r="A26" s="8"/>
      <c r="B26" s="51" t="s">
        <v>62</v>
      </c>
      <c r="C26" s="51"/>
      <c r="D26" s="51"/>
      <c r="E26" s="12">
        <f>VLOOKUP(E15,Blad2!D25:H32,5,FALSE)</f>
        <v>27.89</v>
      </c>
      <c r="F26" s="22"/>
      <c r="G26" s="12">
        <f t="shared" ref="G26:G28" si="0">E26*(1-$E$21)</f>
        <v>12.5505</v>
      </c>
      <c r="I26" s="20">
        <f>G26/(1-E23)</f>
        <v>14.765294117647059</v>
      </c>
      <c r="K26" s="21">
        <f>I26*E13</f>
        <v>1284.580588235294</v>
      </c>
      <c r="M26" s="20"/>
    </row>
    <row r="27" spans="1:13" ht="27" customHeight="1" x14ac:dyDescent="0.3">
      <c r="A27" s="8"/>
      <c r="B27" s="51" t="s">
        <v>63</v>
      </c>
      <c r="C27" s="51"/>
      <c r="D27" s="51"/>
      <c r="E27" s="12">
        <f>IF(Janee="ja",VLOOKUP(E15,Blad2!D25:O32,12,FALSE),0)</f>
        <v>51.97</v>
      </c>
      <c r="F27" s="19"/>
      <c r="G27" s="12">
        <f t="shared" si="0"/>
        <v>23.386499999999998</v>
      </c>
      <c r="I27" s="20">
        <f>G27/(1-E23)</f>
        <v>27.513529411764704</v>
      </c>
      <c r="K27" s="21">
        <f>I27*E13</f>
        <v>2393.6770588235295</v>
      </c>
      <c r="M27" s="20"/>
    </row>
    <row r="28" spans="1:13" ht="27" customHeight="1" x14ac:dyDescent="0.3">
      <c r="A28" s="8"/>
      <c r="B28" s="51" t="s">
        <v>64</v>
      </c>
      <c r="C28" s="51"/>
      <c r="D28" s="51"/>
      <c r="E28" s="12">
        <f>IF(Janee="Ja",Blad2!O34,0)</f>
        <v>4.3499999999999996</v>
      </c>
      <c r="F28" s="22"/>
      <c r="G28" s="12">
        <f t="shared" si="0"/>
        <v>1.9574999999999996</v>
      </c>
      <c r="I28" s="20">
        <f>G28/(1-E23)</f>
        <v>2.3029411764705876</v>
      </c>
      <c r="K28" s="21">
        <f>(((E11/3)*4)*I28)</f>
        <v>534.28235294117633</v>
      </c>
      <c r="M28" s="20"/>
    </row>
    <row r="30" spans="1:13" ht="27" customHeight="1" x14ac:dyDescent="0.3">
      <c r="E30" s="23"/>
      <c r="F30" s="24"/>
      <c r="G30" s="24"/>
    </row>
    <row r="31" spans="1:13" ht="27" customHeight="1" x14ac:dyDescent="0.3">
      <c r="C31" s="51" t="s">
        <v>71</v>
      </c>
      <c r="D31" s="51"/>
      <c r="E31" s="49">
        <f>K25+K26+K27+K28</f>
        <v>7185.1764705882351</v>
      </c>
      <c r="F31" s="50"/>
    </row>
    <row r="32" spans="1:13" ht="27" customHeight="1" x14ac:dyDescent="0.3">
      <c r="E32" s="9"/>
    </row>
    <row r="33" spans="1:7" ht="27" customHeight="1" x14ac:dyDescent="0.3">
      <c r="A33" s="65" t="s">
        <v>82</v>
      </c>
      <c r="C33" s="51" t="s">
        <v>23</v>
      </c>
      <c r="D33" s="51"/>
      <c r="E33" s="49">
        <f>E31*E23</f>
        <v>1077.7764705882353</v>
      </c>
      <c r="F33" s="50"/>
      <c r="G33" s="25"/>
    </row>
  </sheetData>
  <sheetProtection algorithmName="SHA-512" hashValue="R+1gdU2pxLruNdQLw7YAFzrB3DT/I166K30VsCTkvvwhjSDMJH3DSZHnGZ0Gid0FuIxp1vYwVxmw2WPtozYUBw==" saltValue="rd5T0YgR5+j6nIz4Ed/sxQ==" spinCount="100000" sheet="1" objects="1" selectLockedCells="1"/>
  <mergeCells count="19">
    <mergeCell ref="E33:F33"/>
    <mergeCell ref="C2:I3"/>
    <mergeCell ref="A11:D11"/>
    <mergeCell ref="A13:D13"/>
    <mergeCell ref="C31:D31"/>
    <mergeCell ref="C33:D33"/>
    <mergeCell ref="C5:D5"/>
    <mergeCell ref="B15:D15"/>
    <mergeCell ref="B17:D17"/>
    <mergeCell ref="B25:D25"/>
    <mergeCell ref="E17:H17"/>
    <mergeCell ref="E15:I15"/>
    <mergeCell ref="B27:D27"/>
    <mergeCell ref="E31:F31"/>
    <mergeCell ref="B23:D23"/>
    <mergeCell ref="B28:D28"/>
    <mergeCell ref="B26:D26"/>
    <mergeCell ref="B9:D9"/>
    <mergeCell ref="B19:D19"/>
  </mergeCells>
  <pageMargins left="0.7" right="0.7" top="0.75" bottom="0.75" header="0.3" footer="0.3"/>
  <ignoredErrors>
    <ignoredError sqref="K26" formula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9C65CF7-A3C8-BD45-978E-7A535DBAA2F7}">
          <x14:formula1>
            <xm:f>Blad2!$D$25:$D$32</xm:f>
          </x14:formula1>
          <xm:sqref>F16:G16 E18:G18 E15:E16</xm:sqref>
        </x14:dataValidation>
        <x14:dataValidation type="list" allowBlank="1" showInputMessage="1" showErrorMessage="1" xr:uid="{C25591EC-3F0A-4D07-A594-EB03DB7B4FA2}">
          <x14:formula1>
            <xm:f>Blad2!#REF!</xm:f>
          </x14:formula1>
          <xm:sqref>F19:I19</xm:sqref>
        </x14:dataValidation>
        <x14:dataValidation type="list" allowBlank="1" showInputMessage="1" showErrorMessage="1" xr:uid="{C3C9F522-5D53-BF41-8701-C2850AC56470}">
          <x14:formula1>
            <xm:f>Blad2!$C$12:$C$13</xm:f>
          </x14:formula1>
          <xm:sqref>E19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2CEA-23DA-49D0-AA49-93EE7AD46DE3}">
  <dimension ref="B2:H13"/>
  <sheetViews>
    <sheetView workbookViewId="0">
      <selection activeCell="F19" sqref="F19"/>
    </sheetView>
  </sheetViews>
  <sheetFormatPr baseColWidth="10" defaultColWidth="4.1640625" defaultRowHeight="16" x14ac:dyDescent="0.2"/>
  <cols>
    <col min="2" max="2" width="13" bestFit="1" customWidth="1"/>
    <col min="3" max="3" width="10.6640625" bestFit="1" customWidth="1"/>
    <col min="4" max="5" width="10.6640625" customWidth="1"/>
    <col min="6" max="6" width="4.83203125" customWidth="1"/>
    <col min="7" max="7" width="8.6640625" style="28" bestFit="1" customWidth="1"/>
    <col min="8" max="8" width="12.1640625" style="28" bestFit="1" customWidth="1"/>
    <col min="10" max="10" width="7.6640625" bestFit="1" customWidth="1"/>
    <col min="11" max="14" width="5.1640625" bestFit="1" customWidth="1"/>
  </cols>
  <sheetData>
    <row r="2" spans="2:8" ht="24" x14ac:dyDescent="0.3">
      <c r="B2" s="44" t="s">
        <v>81</v>
      </c>
    </row>
    <row r="8" spans="2:8" x14ac:dyDescent="0.2">
      <c r="B8" s="36" t="s">
        <v>30</v>
      </c>
      <c r="C8" s="37" t="s">
        <v>77</v>
      </c>
      <c r="D8" s="37" t="s">
        <v>78</v>
      </c>
      <c r="E8" s="37" t="s">
        <v>80</v>
      </c>
      <c r="F8" s="38"/>
      <c r="G8" s="39" t="str" cm="1">
        <f t="array" ref="G8:G12">'RoofSupport Tool'!I24:I28</f>
        <v>Verkoop</v>
      </c>
      <c r="H8" s="40" t="str" cm="1">
        <f t="array" ref="H8:H12">'RoofSupport Tool'!K24:K28</f>
        <v>Totaal</v>
      </c>
    </row>
    <row r="9" spans="2:8" x14ac:dyDescent="0.2">
      <c r="B9" s="32" t="s">
        <v>73</v>
      </c>
      <c r="C9" s="29" t="str">
        <f>VLOOKUP('RoofSupport Tool'!E15,Blad2!D25:L32,9,FALSE)</f>
        <v>2/17358</v>
      </c>
      <c r="D9" s="29" t="str">
        <f>VLOOKUP(C9,Blad2!B25:D32,3,FALSE)</f>
        <v>Wire tray 65x300 (L=3M)</v>
      </c>
      <c r="E9" s="30">
        <f>'RoofSupport Tool'!E11</f>
        <v>174</v>
      </c>
      <c r="F9" s="29" t="s">
        <v>51</v>
      </c>
      <c r="G9" s="31">
        <v>17.084117647058825</v>
      </c>
      <c r="H9" s="41">
        <v>2972.6364705882356</v>
      </c>
    </row>
    <row r="10" spans="2:8" x14ac:dyDescent="0.2">
      <c r="B10" s="32" t="s">
        <v>74</v>
      </c>
      <c r="C10" s="29" t="str">
        <f>'RoofSupport Tool'!E17</f>
        <v>RSXL102011</v>
      </c>
      <c r="D10" s="29" t="str">
        <f>VLOOKUP(C10,Blad2!M36:N37,2,FALSE)</f>
        <v>RoofBlock XL</v>
      </c>
      <c r="E10" s="30">
        <f>'RoofSupport Tool'!E13</f>
        <v>87</v>
      </c>
      <c r="F10" s="29" t="s">
        <v>79</v>
      </c>
      <c r="G10" s="31">
        <v>14.765294117647059</v>
      </c>
      <c r="H10" s="41">
        <v>1284.580588235294</v>
      </c>
    </row>
    <row r="11" spans="2:8" x14ac:dyDescent="0.2">
      <c r="B11" s="32" t="s">
        <v>75</v>
      </c>
      <c r="C11" s="29" t="str">
        <f>IF(Janee="Ja",VLOOKUP('RoofSupport Tool'!E15,Blad2!D25:Q32,14,FALSE),"N/A")</f>
        <v>2/1325</v>
      </c>
      <c r="D11" s="29" t="str">
        <f>IF(C11="N/A","N/A",VLOOKUP(C11,Blad2!M25:N32,2,FALSE))</f>
        <v>300MM COVER L=3M HD.</v>
      </c>
      <c r="E11" s="29">
        <f>IF(C11="N/A","N/A",E9)</f>
        <v>174</v>
      </c>
      <c r="F11" s="29" t="s">
        <v>51</v>
      </c>
      <c r="G11" s="31">
        <v>27.513529411764704</v>
      </c>
      <c r="H11" s="41">
        <v>2393.6770588235295</v>
      </c>
    </row>
    <row r="12" spans="2:8" ht="19" x14ac:dyDescent="0.35">
      <c r="B12" s="32" t="s">
        <v>76</v>
      </c>
      <c r="C12" s="29" t="str">
        <f>IF(Janee="Ja",Blad2!M34,"N/A")</f>
        <v>2/10254</v>
      </c>
      <c r="D12" s="29" t="str">
        <f>IF(C12="N/A","N/A",Blad2!N34)</f>
        <v>Cover clamp stainless steel 304</v>
      </c>
      <c r="E12" s="29">
        <f>IF(C12="N/A","N/A",((('RoofSupport Tool'!E11/1.2)*2)))</f>
        <v>290</v>
      </c>
      <c r="F12" s="29" t="s">
        <v>79</v>
      </c>
      <c r="G12" s="31">
        <v>2.3029411764705876</v>
      </c>
      <c r="H12" s="42">
        <v>534.28235294117633</v>
      </c>
    </row>
    <row r="13" spans="2:8" x14ac:dyDescent="0.2">
      <c r="B13" s="33"/>
      <c r="C13" s="34"/>
      <c r="D13" s="34"/>
      <c r="E13" s="34"/>
      <c r="F13" s="34"/>
      <c r="G13" s="35"/>
      <c r="H13" s="43">
        <f>SUM(H9:H12)</f>
        <v>7185.1764705882351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A5C5D-D106-F145-81D7-887575B9E88F}">
  <dimension ref="B4:Q37"/>
  <sheetViews>
    <sheetView topLeftCell="A4" zoomScale="123" zoomScaleNormal="123" workbookViewId="0">
      <selection activeCell="D17" sqref="D17"/>
    </sheetView>
  </sheetViews>
  <sheetFormatPr baseColWidth="10" defaultColWidth="11.1640625" defaultRowHeight="16" x14ac:dyDescent="0.2"/>
  <cols>
    <col min="2" max="2" width="15.83203125" bestFit="1" customWidth="1"/>
    <col min="4" max="4" width="21.83203125" bestFit="1" customWidth="1"/>
    <col min="6" max="6" width="15.1640625" bestFit="1" customWidth="1"/>
    <col min="10" max="10" width="13.6640625" customWidth="1"/>
    <col min="13" max="13" width="22.1640625" bestFit="1" customWidth="1"/>
    <col min="15" max="15" width="15.1640625" bestFit="1" customWidth="1"/>
  </cols>
  <sheetData>
    <row r="4" spans="2:4" x14ac:dyDescent="0.2">
      <c r="B4">
        <f>'RoofSupport Tool'!E5*1000*'RoofSupport Tool'!E7</f>
        <v>100000</v>
      </c>
      <c r="C4" t="s">
        <v>0</v>
      </c>
    </row>
    <row r="5" spans="2:4" x14ac:dyDescent="0.2">
      <c r="B5" t="s">
        <v>1</v>
      </c>
      <c r="C5">
        <f>Blad2!B4/'RoofSupport Tool'!E9</f>
        <v>500</v>
      </c>
    </row>
    <row r="6" spans="2:4" x14ac:dyDescent="0.2">
      <c r="B6" t="s">
        <v>2</v>
      </c>
      <c r="C6">
        <v>0.35</v>
      </c>
      <c r="D6" t="s">
        <v>3</v>
      </c>
    </row>
    <row r="9" spans="2:4" x14ac:dyDescent="0.2">
      <c r="B9" t="s">
        <v>20</v>
      </c>
      <c r="C9" s="2">
        <v>0.5</v>
      </c>
    </row>
    <row r="12" spans="2:4" x14ac:dyDescent="0.2">
      <c r="C12" t="s">
        <v>29</v>
      </c>
    </row>
    <row r="13" spans="2:4" x14ac:dyDescent="0.2">
      <c r="C13" t="s">
        <v>69</v>
      </c>
    </row>
    <row r="19" spans="2:17" x14ac:dyDescent="0.2">
      <c r="H19">
        <v>0.5</v>
      </c>
    </row>
    <row r="22" spans="2:17" x14ac:dyDescent="0.2">
      <c r="G22" t="s">
        <v>24</v>
      </c>
    </row>
    <row r="24" spans="2:17" x14ac:dyDescent="0.2">
      <c r="E24" t="s">
        <v>21</v>
      </c>
      <c r="F24" t="s">
        <v>22</v>
      </c>
      <c r="H24" t="s">
        <v>21</v>
      </c>
      <c r="I24" t="s">
        <v>22</v>
      </c>
      <c r="J24" t="s">
        <v>26</v>
      </c>
      <c r="K24" t="s">
        <v>27</v>
      </c>
      <c r="O24" t="s">
        <v>21</v>
      </c>
      <c r="P24" t="s">
        <v>22</v>
      </c>
    </row>
    <row r="25" spans="2:17" x14ac:dyDescent="0.2">
      <c r="B25" t="s">
        <v>10</v>
      </c>
      <c r="C25" s="1">
        <v>14.35</v>
      </c>
      <c r="D25" t="s">
        <v>11</v>
      </c>
      <c r="E25" s="1">
        <v>14.35</v>
      </c>
      <c r="F25" s="3">
        <f>E25/100*35</f>
        <v>5.0225</v>
      </c>
      <c r="G25" t="s">
        <v>24</v>
      </c>
      <c r="H25">
        <v>9.64</v>
      </c>
      <c r="I25" s="3">
        <f t="shared" ref="I25:I32" si="0">H25/100*35</f>
        <v>3.3740000000000001</v>
      </c>
      <c r="J25">
        <v>0.83</v>
      </c>
      <c r="K25">
        <f>ROUNDUP('RoofSupport Tool'!$E$11*Blad2!J25,0)</f>
        <v>145</v>
      </c>
      <c r="L25" t="s">
        <v>10</v>
      </c>
      <c r="M25" s="5" t="s">
        <v>46</v>
      </c>
      <c r="N25" s="4" t="s">
        <v>38</v>
      </c>
      <c r="O25">
        <v>21.81</v>
      </c>
      <c r="P25" s="3">
        <f t="shared" ref="P25:P34" si="1">O25/100*35</f>
        <v>7.6334999999999997</v>
      </c>
      <c r="Q25" s="5" t="s">
        <v>46</v>
      </c>
    </row>
    <row r="26" spans="2:17" x14ac:dyDescent="0.2">
      <c r="B26" t="s">
        <v>4</v>
      </c>
      <c r="C26" s="1">
        <v>15.21</v>
      </c>
      <c r="D26" t="s">
        <v>12</v>
      </c>
      <c r="E26" s="1">
        <v>15.21</v>
      </c>
      <c r="F26" s="3">
        <f t="shared" ref="F26:F32" si="2">E26/100*35</f>
        <v>5.3235000000000001</v>
      </c>
      <c r="G26" t="s">
        <v>24</v>
      </c>
      <c r="H26">
        <v>9.64</v>
      </c>
      <c r="I26" s="3">
        <f t="shared" si="0"/>
        <v>3.3740000000000001</v>
      </c>
      <c r="J26">
        <v>0.83</v>
      </c>
      <c r="K26">
        <f>ROUNDUP('RoofSupport Tool'!$E$11*Blad2!J26,0)</f>
        <v>145</v>
      </c>
      <c r="L26" t="s">
        <v>4</v>
      </c>
      <c r="M26" t="s">
        <v>39</v>
      </c>
      <c r="N26" s="4" t="s">
        <v>31</v>
      </c>
      <c r="O26">
        <v>18.739999999999998</v>
      </c>
      <c r="P26" s="3">
        <f t="shared" si="1"/>
        <v>6.5589999999999993</v>
      </c>
      <c r="Q26" t="s">
        <v>39</v>
      </c>
    </row>
    <row r="27" spans="2:17" x14ac:dyDescent="0.2">
      <c r="B27" t="s">
        <v>5</v>
      </c>
      <c r="C27" s="1">
        <v>17.7</v>
      </c>
      <c r="D27" t="s">
        <v>13</v>
      </c>
      <c r="E27" s="1">
        <v>17.7</v>
      </c>
      <c r="F27" s="3">
        <f t="shared" si="2"/>
        <v>6.1949999999999994</v>
      </c>
      <c r="G27" t="s">
        <v>24</v>
      </c>
      <c r="H27">
        <v>9.64</v>
      </c>
      <c r="I27" s="3">
        <f t="shared" si="0"/>
        <v>3.3740000000000001</v>
      </c>
      <c r="J27">
        <v>0.83</v>
      </c>
      <c r="K27">
        <f>ROUNDUP('RoofSupport Tool'!$E$11*Blad2!J27,0)</f>
        <v>145</v>
      </c>
      <c r="L27" t="s">
        <v>5</v>
      </c>
      <c r="M27" t="s">
        <v>40</v>
      </c>
      <c r="N27" s="4" t="s">
        <v>32</v>
      </c>
      <c r="O27">
        <v>25.42</v>
      </c>
      <c r="P27" s="3">
        <f t="shared" si="1"/>
        <v>8.897000000000002</v>
      </c>
      <c r="Q27" t="s">
        <v>40</v>
      </c>
    </row>
    <row r="28" spans="2:17" x14ac:dyDescent="0.2">
      <c r="B28" t="s">
        <v>6</v>
      </c>
      <c r="C28" s="1">
        <v>21.73</v>
      </c>
      <c r="D28" t="s">
        <v>14</v>
      </c>
      <c r="E28" s="1">
        <v>21.73</v>
      </c>
      <c r="F28" s="3">
        <f t="shared" si="2"/>
        <v>7.6055000000000001</v>
      </c>
      <c r="G28" t="s">
        <v>25</v>
      </c>
      <c r="H28">
        <v>27.89</v>
      </c>
      <c r="I28" s="3">
        <f t="shared" si="0"/>
        <v>9.7614999999999998</v>
      </c>
      <c r="J28">
        <v>0.5</v>
      </c>
      <c r="K28">
        <f>ROUNDUP('RoofSupport Tool'!$E$11*Blad2!J28,0)</f>
        <v>87</v>
      </c>
      <c r="L28" t="s">
        <v>6</v>
      </c>
      <c r="M28" t="s">
        <v>41</v>
      </c>
      <c r="N28" s="4" t="s">
        <v>33</v>
      </c>
      <c r="O28">
        <v>32.270000000000003</v>
      </c>
      <c r="P28" s="3">
        <f t="shared" si="1"/>
        <v>11.294500000000001</v>
      </c>
      <c r="Q28" t="s">
        <v>41</v>
      </c>
    </row>
    <row r="29" spans="2:17" x14ac:dyDescent="0.2">
      <c r="B29" t="s">
        <v>7</v>
      </c>
      <c r="C29" s="1">
        <v>32.270000000000003</v>
      </c>
      <c r="D29" t="s">
        <v>15</v>
      </c>
      <c r="E29" s="1">
        <v>32.270000000000003</v>
      </c>
      <c r="F29" s="3">
        <f t="shared" si="2"/>
        <v>11.294500000000001</v>
      </c>
      <c r="G29" t="s">
        <v>25</v>
      </c>
      <c r="H29">
        <v>27.89</v>
      </c>
      <c r="I29" s="3">
        <f t="shared" si="0"/>
        <v>9.7614999999999998</v>
      </c>
      <c r="J29">
        <v>0.5</v>
      </c>
      <c r="K29">
        <f>ROUNDUP('RoofSupport Tool'!$E$11*Blad2!J29,0)</f>
        <v>87</v>
      </c>
      <c r="L29" t="s">
        <v>7</v>
      </c>
      <c r="M29" t="s">
        <v>42</v>
      </c>
      <c r="N29" s="4" t="s">
        <v>34</v>
      </c>
      <c r="O29">
        <v>51.97</v>
      </c>
      <c r="P29" s="3">
        <f t="shared" si="1"/>
        <v>18.189499999999999</v>
      </c>
      <c r="Q29" t="s">
        <v>42</v>
      </c>
    </row>
    <row r="30" spans="2:17" x14ac:dyDescent="0.2">
      <c r="B30" t="s">
        <v>8</v>
      </c>
      <c r="C30" s="1">
        <v>36.700000000000003</v>
      </c>
      <c r="D30" t="s">
        <v>16</v>
      </c>
      <c r="E30" s="1">
        <v>36.700000000000003</v>
      </c>
      <c r="F30" s="3">
        <f t="shared" si="2"/>
        <v>12.845000000000002</v>
      </c>
      <c r="G30" t="s">
        <v>25</v>
      </c>
      <c r="H30">
        <v>27.89</v>
      </c>
      <c r="I30" s="3">
        <f t="shared" si="0"/>
        <v>9.7614999999999998</v>
      </c>
      <c r="J30">
        <v>0.5</v>
      </c>
      <c r="K30">
        <f>ROUNDUP('RoofSupport Tool'!$E$11*Blad2!J30,0)</f>
        <v>87</v>
      </c>
      <c r="L30" t="s">
        <v>8</v>
      </c>
      <c r="M30" t="s">
        <v>43</v>
      </c>
      <c r="N30" s="4" t="s">
        <v>35</v>
      </c>
      <c r="O30">
        <v>68.150000000000006</v>
      </c>
      <c r="P30" s="3">
        <f t="shared" si="1"/>
        <v>23.852500000000003</v>
      </c>
      <c r="Q30" t="s">
        <v>43</v>
      </c>
    </row>
    <row r="31" spans="2:17" x14ac:dyDescent="0.2">
      <c r="B31" t="s">
        <v>9</v>
      </c>
      <c r="C31" s="1">
        <v>48.58</v>
      </c>
      <c r="D31" t="s">
        <v>17</v>
      </c>
      <c r="E31" s="1">
        <v>48.58</v>
      </c>
      <c r="F31" s="3">
        <f t="shared" si="2"/>
        <v>17.003</v>
      </c>
      <c r="G31" t="s">
        <v>25</v>
      </c>
      <c r="H31">
        <v>27.89</v>
      </c>
      <c r="I31" s="3">
        <f t="shared" si="0"/>
        <v>9.7614999999999998</v>
      </c>
      <c r="J31">
        <v>1</v>
      </c>
      <c r="K31">
        <f>ROUNDUP('RoofSupport Tool'!$E$11*Blad2!J31,0)</f>
        <v>174</v>
      </c>
      <c r="L31" t="s">
        <v>9</v>
      </c>
      <c r="M31" t="s">
        <v>44</v>
      </c>
      <c r="N31" s="4" t="s">
        <v>36</v>
      </c>
      <c r="O31">
        <v>97.76</v>
      </c>
      <c r="P31" s="3">
        <f t="shared" si="1"/>
        <v>34.216000000000001</v>
      </c>
      <c r="Q31" t="s">
        <v>44</v>
      </c>
    </row>
    <row r="32" spans="2:17" x14ac:dyDescent="0.2">
      <c r="B32" t="s">
        <v>10</v>
      </c>
      <c r="C32" s="1">
        <v>54.51</v>
      </c>
      <c r="D32" t="s">
        <v>18</v>
      </c>
      <c r="E32" s="1">
        <v>54.51</v>
      </c>
      <c r="F32" s="3">
        <f t="shared" si="2"/>
        <v>19.078500000000002</v>
      </c>
      <c r="G32" t="s">
        <v>25</v>
      </c>
      <c r="H32">
        <v>27.89</v>
      </c>
      <c r="I32" s="3">
        <f t="shared" si="0"/>
        <v>9.7614999999999998</v>
      </c>
      <c r="J32">
        <v>1</v>
      </c>
      <c r="K32">
        <f>ROUNDUP('RoofSupport Tool'!$E$11*Blad2!J32,0)</f>
        <v>174</v>
      </c>
      <c r="L32" t="s">
        <v>10</v>
      </c>
      <c r="M32" t="s">
        <v>45</v>
      </c>
      <c r="N32" s="4" t="s">
        <v>37</v>
      </c>
      <c r="O32">
        <v>139.31</v>
      </c>
      <c r="P32" s="3">
        <f t="shared" si="1"/>
        <v>48.758499999999998</v>
      </c>
      <c r="Q32" t="s">
        <v>45</v>
      </c>
    </row>
    <row r="34" spans="13:17" x14ac:dyDescent="0.2">
      <c r="M34" t="s">
        <v>48</v>
      </c>
      <c r="N34" t="s">
        <v>47</v>
      </c>
      <c r="O34">
        <v>4.3499999999999996</v>
      </c>
      <c r="P34" s="3">
        <f t="shared" si="1"/>
        <v>1.5225</v>
      </c>
      <c r="Q34" t="s">
        <v>48</v>
      </c>
    </row>
    <row r="36" spans="13:17" x14ac:dyDescent="0.2">
      <c r="M36" t="s">
        <v>24</v>
      </c>
      <c r="N36" t="s">
        <v>49</v>
      </c>
    </row>
    <row r="37" spans="13:17" x14ac:dyDescent="0.2">
      <c r="M37" t="s">
        <v>25</v>
      </c>
      <c r="N37" t="s">
        <v>50</v>
      </c>
    </row>
  </sheetData>
  <dataValidations count="1">
    <dataValidation type="list" allowBlank="1" showInputMessage="1" showErrorMessage="1" sqref="B25:B32 L25:L32" xr:uid="{07EB153C-6A85-8541-9A8B-7A191577D1A8}">
      <formula1>$B$25:$B$32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F6598-0DF1-5445-8FD2-4641DFD6601E}">
  <dimension ref="B3:G6"/>
  <sheetViews>
    <sheetView workbookViewId="0">
      <selection activeCell="C6" sqref="C6:G6"/>
    </sheetView>
  </sheetViews>
  <sheetFormatPr baseColWidth="10" defaultColWidth="11.1640625" defaultRowHeight="16" x14ac:dyDescent="0.2"/>
  <cols>
    <col min="2" max="2" width="12.83203125" bestFit="1" customWidth="1"/>
    <col min="3" max="3" width="21.83203125" bestFit="1" customWidth="1"/>
  </cols>
  <sheetData>
    <row r="3" spans="2:7" x14ac:dyDescent="0.2">
      <c r="B3" t="s">
        <v>72</v>
      </c>
    </row>
    <row r="6" spans="2:7" x14ac:dyDescent="0.2">
      <c r="C6" t="str" cm="1">
        <f t="array" ref="C6:G6">'RoofSupport Tool'!E15:I15</f>
        <v>Wire tray 65x300 (L=3M)</v>
      </c>
      <c r="D6">
        <v>0</v>
      </c>
      <c r="E6">
        <v>0</v>
      </c>
      <c r="F6">
        <v>0</v>
      </c>
      <c r="G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RoofSupport Tool</vt:lpstr>
      <vt:lpstr>Materiaallijst</vt:lpstr>
      <vt:lpstr>Blad2</vt:lpstr>
      <vt:lpstr>Blad1</vt:lpstr>
      <vt:lpstr>Janee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</cp:lastModifiedBy>
  <dcterms:created xsi:type="dcterms:W3CDTF">2024-10-10T09:45:14Z</dcterms:created>
  <dcterms:modified xsi:type="dcterms:W3CDTF">2025-01-22T11:23:41Z</dcterms:modified>
</cp:coreProperties>
</file>